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0" yWindow="-15" windowWidth="19050" windowHeight="7965"/>
  </bookViews>
  <sheets>
    <sheet name="Sheet1 (2)" sheetId="5" r:id="rId1"/>
    <sheet name="Sheet1" sheetId="1" r:id="rId2"/>
    <sheet name="Sheet2" sheetId="2" r:id="rId3"/>
    <sheet name="Sheet3" sheetId="3" r:id="rId4"/>
    <sheet name="Sheet4" sheetId="4" r:id="rId5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5" i="5" l="1"/>
  <c r="J26" i="5" s="1"/>
  <c r="E20" i="5"/>
  <c r="H20" i="5"/>
  <c r="D17" i="5"/>
  <c r="D18" i="5" s="1"/>
  <c r="D19" i="5" s="1"/>
  <c r="E17" i="5"/>
  <c r="E18" i="5" s="1"/>
  <c r="E19" i="5" s="1"/>
  <c r="F17" i="5"/>
  <c r="F18" i="5" s="1"/>
  <c r="F19" i="5" s="1"/>
  <c r="G17" i="5"/>
  <c r="G18" i="5" s="1"/>
  <c r="G19" i="5" s="1"/>
  <c r="I17" i="5"/>
  <c r="I18" i="5" s="1"/>
  <c r="I19" i="5" s="1"/>
  <c r="J17" i="5"/>
  <c r="J18" i="5" s="1"/>
  <c r="J19" i="5" s="1"/>
  <c r="C17" i="5"/>
  <c r="C18" i="5" s="1"/>
  <c r="C19" i="5" s="1"/>
  <c r="H18" i="5"/>
  <c r="H19" i="5" s="1"/>
  <c r="I25" i="5"/>
  <c r="I26" i="5" s="1"/>
  <c r="H25" i="5"/>
  <c r="H27" i="5" s="1"/>
  <c r="H28" i="5" s="1"/>
  <c r="H29" i="5" s="1"/>
  <c r="G25" i="5"/>
  <c r="G26" i="5" s="1"/>
  <c r="G27" i="5" s="1"/>
  <c r="G28" i="5" s="1"/>
  <c r="F25" i="5"/>
  <c r="F26" i="5" s="1"/>
  <c r="E25" i="5"/>
  <c r="E26" i="5" s="1"/>
  <c r="D25" i="5"/>
  <c r="D26" i="5" s="1"/>
  <c r="D27" i="5" s="1"/>
  <c r="D28" i="5" s="1"/>
  <c r="C25" i="5"/>
  <c r="J16" i="5"/>
  <c r="I16" i="5"/>
  <c r="H16" i="5"/>
  <c r="F16" i="5"/>
  <c r="G16" i="5" s="1"/>
  <c r="E16" i="5"/>
  <c r="D16" i="5"/>
  <c r="C16" i="5"/>
  <c r="D20" i="5" l="1"/>
  <c r="D29" i="5"/>
  <c r="J20" i="5"/>
  <c r="G29" i="5"/>
  <c r="I20" i="5"/>
  <c r="G20" i="5"/>
  <c r="F20" i="5"/>
  <c r="J27" i="5"/>
  <c r="J28" i="5" s="1"/>
  <c r="J29" i="5" s="1"/>
  <c r="I27" i="5"/>
  <c r="I28" i="5" s="1"/>
  <c r="I29" i="5" s="1"/>
  <c r="F27" i="5"/>
  <c r="F28" i="5" s="1"/>
  <c r="F29" i="5" s="1"/>
  <c r="C26" i="5"/>
  <c r="C27" i="5" s="1"/>
  <c r="C28" i="5" s="1"/>
  <c r="C27" i="1"/>
  <c r="E27" i="5" l="1"/>
  <c r="E28" i="5" s="1"/>
  <c r="E29" i="5" s="1"/>
  <c r="C20" i="5"/>
  <c r="C29" i="5" l="1"/>
  <c r="J26" i="1" l="1"/>
  <c r="I26" i="1"/>
  <c r="D25" i="1"/>
  <c r="E25" i="1"/>
  <c r="F25" i="1"/>
  <c r="G25" i="1"/>
  <c r="H25" i="1"/>
  <c r="I25" i="1"/>
  <c r="J25" i="1"/>
  <c r="J29" i="1" s="1"/>
  <c r="C25" i="1"/>
  <c r="I29" i="1"/>
  <c r="H28" i="1"/>
  <c r="I20" i="1"/>
  <c r="D16" i="1"/>
  <c r="D17" i="1" s="1"/>
  <c r="D18" i="1" s="1"/>
  <c r="D19" i="1" s="1"/>
  <c r="E16" i="1"/>
  <c r="H16" i="1"/>
  <c r="H19" i="1" s="1"/>
  <c r="H20" i="1" s="1"/>
  <c r="I16" i="1" l="1"/>
  <c r="I17" i="1" l="1"/>
  <c r="C16" i="1"/>
  <c r="J16" i="1"/>
  <c r="J17" i="1" s="1"/>
  <c r="J20" i="1" l="1"/>
  <c r="D26" i="1" l="1"/>
  <c r="D27" i="1" s="1"/>
  <c r="D28" i="1" s="1"/>
  <c r="C26" i="1"/>
  <c r="E26" i="1"/>
  <c r="E27" i="1" s="1"/>
  <c r="E17" i="1"/>
  <c r="C17" i="1"/>
  <c r="F16" i="1"/>
  <c r="F26" i="1" l="1"/>
  <c r="F27" i="1" s="1"/>
  <c r="C18" i="1"/>
  <c r="E18" i="1"/>
  <c r="E19" i="1" s="1"/>
  <c r="E20" i="1" s="1"/>
  <c r="G16" i="1"/>
  <c r="G17" i="1" s="1"/>
  <c r="F17" i="1"/>
  <c r="G26" i="1" l="1"/>
  <c r="G27" i="1" s="1"/>
  <c r="C19" i="1"/>
  <c r="D20" i="1" s="1"/>
  <c r="F18" i="1"/>
  <c r="F19" i="1" s="1"/>
  <c r="F20" i="1" s="1"/>
  <c r="G18" i="1"/>
  <c r="G19" i="1" s="1"/>
  <c r="G20" i="1" s="1"/>
  <c r="C20" i="1" l="1"/>
  <c r="E28" i="1" l="1"/>
  <c r="E29" i="1" s="1"/>
  <c r="H29" i="1"/>
  <c r="F28" i="1"/>
  <c r="F29" i="1" s="1"/>
  <c r="G28" i="1"/>
  <c r="G29" i="1" s="1"/>
  <c r="C28" i="1" l="1"/>
  <c r="C29" i="1" l="1"/>
  <c r="D29" i="1"/>
</calcChain>
</file>

<file path=xl/sharedStrings.xml><?xml version="1.0" encoding="utf-8"?>
<sst xmlns="http://schemas.openxmlformats.org/spreadsheetml/2006/main" count="129" uniqueCount="46">
  <si>
    <t>M  =</t>
  </si>
  <si>
    <t>Ne  =</t>
  </si>
  <si>
    <t>L  =</t>
  </si>
  <si>
    <t>k  =</t>
  </si>
  <si>
    <t>T  =</t>
  </si>
  <si>
    <t>Me  =</t>
  </si>
  <si>
    <t>Theta  =</t>
  </si>
  <si>
    <t>rQhat  =</t>
  </si>
  <si>
    <r>
      <t>q</t>
    </r>
    <r>
      <rPr>
        <vertAlign val="superscript"/>
        <sz val="18"/>
        <color theme="1"/>
        <rFont val="Calibri"/>
        <family val="2"/>
        <scheme val="minor"/>
      </rPr>
      <t>2</t>
    </r>
    <r>
      <rPr>
        <sz val="18"/>
        <color theme="1"/>
        <rFont val="Calibri"/>
        <family val="2"/>
        <scheme val="minor"/>
      </rPr>
      <t xml:space="preserve">  =</t>
    </r>
  </si>
  <si>
    <t># markers</t>
  </si>
  <si>
    <t>Effective population size</t>
  </si>
  <si>
    <t>Average chromosome size (M)</t>
  </si>
  <si>
    <t>Number of chromosomes</t>
  </si>
  <si>
    <t>Heritability of phenotypes</t>
  </si>
  <si>
    <t>Number of training individuals</t>
  </si>
  <si>
    <r>
      <t>h</t>
    </r>
    <r>
      <rPr>
        <vertAlign val="superscript"/>
        <sz val="18"/>
        <color theme="1"/>
        <rFont val="Calibri"/>
        <family val="2"/>
        <scheme val="minor"/>
      </rPr>
      <t>2</t>
    </r>
    <r>
      <rPr>
        <sz val="18"/>
        <color theme="1"/>
        <rFont val="Calibri"/>
        <family val="2"/>
        <scheme val="minor"/>
      </rPr>
      <t xml:space="preserve">  =</t>
    </r>
  </si>
  <si>
    <t>Effective number of chr. Segments</t>
  </si>
  <si>
    <t>Accuracy of genomic prediction as predictor of effects captured by markers</t>
  </si>
  <si>
    <t>Accuracy of genomic prediction as predictor of full breeding value</t>
  </si>
  <si>
    <t>Accuracy of genomic prediction based on Goddard et al. (2011), with notation after Dekkers (2007)</t>
  </si>
  <si>
    <t>Proportion of genetic variance captured by markers = b</t>
  </si>
  <si>
    <t>Me = 2NeLk/ln(NeL)</t>
  </si>
  <si>
    <t>Me = 2NeLk/ln(2Ne)</t>
  </si>
  <si>
    <t>Me = 2NeLk</t>
  </si>
  <si>
    <t>Me=4NeLk</t>
  </si>
  <si>
    <t>Alternate derivations of Me</t>
  </si>
  <si>
    <t>Goddard 2009</t>
  </si>
  <si>
    <t>Lee et al 2017</t>
  </si>
  <si>
    <t xml:space="preserve">      Eq. (10)  </t>
  </si>
  <si>
    <t xml:space="preserve">           Eq(11)</t>
  </si>
  <si>
    <t>doi: http://dx.doi.org/10.1101/054494</t>
  </si>
  <si>
    <r>
      <t>r</t>
    </r>
    <r>
      <rPr>
        <b/>
        <vertAlign val="subscript"/>
        <sz val="18"/>
        <color rgb="FFFF0000"/>
        <rFont val="Calibri"/>
        <family val="2"/>
        <scheme val="minor"/>
      </rPr>
      <t>GBV</t>
    </r>
    <r>
      <rPr>
        <b/>
        <sz val="18"/>
        <color rgb="FFFF0000"/>
        <rFont val="Calibri"/>
        <family val="2"/>
        <scheme val="minor"/>
      </rPr>
      <t xml:space="preserve">  =</t>
    </r>
  </si>
  <si>
    <t>Me = 2NeLk/ln(4NeLk)</t>
  </si>
  <si>
    <t>Daetwyler et al 2008</t>
  </si>
  <si>
    <t>Meuwissen et al., 2013</t>
  </si>
  <si>
    <t>Goddard et al. 2011</t>
  </si>
  <si>
    <t>and other methods</t>
  </si>
  <si>
    <r>
      <t xml:space="preserve">Goddard, M.E. Genomic selection: prediction of accuracy and maximisation of long term response. </t>
    </r>
    <r>
      <rPr>
        <i/>
        <sz val="12"/>
        <color theme="1"/>
        <rFont val="Calibri"/>
        <family val="2"/>
        <scheme val="minor"/>
      </rPr>
      <t>Genetica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136</t>
    </r>
    <r>
      <rPr>
        <sz val="12"/>
        <color theme="1"/>
        <rFont val="Calibri"/>
        <family val="2"/>
        <scheme val="minor"/>
      </rPr>
      <t>, 245-257 (2009).</t>
    </r>
  </si>
  <si>
    <r>
      <t xml:space="preserve">Goddard, M.E., Hayes, B.J. &amp; Meuwissen, T.H.E. Using the genomic relationship matrix to predict the accuracy of genomic selection. </t>
    </r>
    <r>
      <rPr>
        <i/>
        <sz val="12"/>
        <color theme="1"/>
        <rFont val="Calibri"/>
        <family val="2"/>
        <scheme val="minor"/>
      </rPr>
      <t>Journal of Animal Breeding and Genetics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128</t>
    </r>
    <r>
      <rPr>
        <sz val="12"/>
        <color theme="1"/>
        <rFont val="Calibri"/>
        <family val="2"/>
        <scheme val="minor"/>
      </rPr>
      <t>, 409-421 (2011).</t>
    </r>
  </si>
  <si>
    <r>
      <t xml:space="preserve">Meuwissen, T., Hayes, B. &amp; Goddard, M. Accelerating Improvement of Livestock with Genomic Selection. </t>
    </r>
    <r>
      <rPr>
        <i/>
        <sz val="12"/>
        <color theme="1"/>
        <rFont val="Calibri"/>
        <family val="2"/>
        <scheme val="minor"/>
      </rPr>
      <t>Annual Review of Animal Biosciences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, 221-237 (2013).</t>
    </r>
  </si>
  <si>
    <r>
      <t xml:space="preserve">Daetwyler, H.D., Villanueva, B. &amp; Woolliams, J.A. Accuracy of predicting the genetic risk of disease using a genome-wide approach. </t>
    </r>
    <r>
      <rPr>
        <i/>
        <sz val="12"/>
        <color theme="1"/>
        <rFont val="Calibri"/>
        <family val="2"/>
        <scheme val="minor"/>
      </rPr>
      <t>PLOS ONE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, e3395 (2008).</t>
    </r>
  </si>
  <si>
    <r>
      <t xml:space="preserve">Lee, S.H., Weerasinghe, W.M. S.P. ,  Wray, N. R., Goddard, M.E.,  and van der Werf, J.H.J. Using information of relatives in genomic prediction to apply effective stratified medicine. Scientific Reports. </t>
    </r>
    <r>
      <rPr>
        <sz val="10"/>
        <color rgb="FF222222"/>
        <rFont val="Arial"/>
        <family val="2"/>
      </rPr>
      <t xml:space="preserve">(2017) </t>
    </r>
    <r>
      <rPr>
        <sz val="11"/>
        <color theme="1"/>
        <rFont val="Calibri"/>
        <family val="2"/>
        <scheme val="minor"/>
      </rPr>
      <t xml:space="preserve">Also </t>
    </r>
    <r>
      <rPr>
        <i/>
        <sz val="10"/>
        <color rgb="FF222222"/>
        <rFont val="Arial"/>
        <family val="2"/>
      </rPr>
      <t>bioRxiv</t>
    </r>
    <r>
      <rPr>
        <sz val="10"/>
        <color rgb="FF222222"/>
        <rFont val="Arial"/>
        <family val="2"/>
      </rPr>
      <t xml:space="preserve"> (2016): 054494</t>
    </r>
  </si>
  <si>
    <t>Compare methods with the same Me =</t>
  </si>
  <si>
    <t>Accuracy of estimating SNP effects</t>
  </si>
  <si>
    <t>Lambda</t>
  </si>
  <si>
    <t>Varance ratio of resdual and effective QTL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</si>
</sst>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6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vertAlign val="superscript"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bscript"/>
      <sz val="18"/>
      <color rgb="FFFF0000"/>
      <name val="Calibri"/>
      <family val="2"/>
      <scheme val="minor"/>
    </font>
    <font>
      <sz val="8"/>
      <name val="Verdana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222222"/>
      <name val="Arial"/>
      <family val="2"/>
    </font>
    <font>
      <i/>
      <sz val="10"/>
      <color rgb="FF222222"/>
      <name val="Arial"/>
      <family val="2"/>
    </font>
    <font>
      <b/>
      <sz val="16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8">
    <xf numFmtId="0" fontId="0" fillId="0" borderId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6" fillId="2" borderId="0" xfId="0" applyFont="1" applyFill="1"/>
    <xf numFmtId="0" fontId="1" fillId="2" borderId="0" xfId="0" applyFont="1" applyFill="1"/>
    <xf numFmtId="0" fontId="0" fillId="0" borderId="0" xfId="0" applyAlignment="1">
      <alignment horizontal="right"/>
    </xf>
    <xf numFmtId="0" fontId="2" fillId="3" borderId="0" xfId="0" applyFont="1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right"/>
    </xf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0" fillId="7" borderId="0" xfId="0" applyFill="1"/>
    <xf numFmtId="0" fontId="0" fillId="0" borderId="0" xfId="0" applyAlignment="1">
      <alignment horizontal="center"/>
    </xf>
    <xf numFmtId="164" fontId="2" fillId="6" borderId="0" xfId="0" applyNumberFormat="1" applyFont="1" applyFill="1" applyAlignment="1">
      <alignment horizontal="center"/>
    </xf>
    <xf numFmtId="166" fontId="2" fillId="3" borderId="0" xfId="1" applyNumberFormat="1" applyFont="1" applyFill="1" applyAlignment="1">
      <alignment horizontal="center"/>
    </xf>
    <xf numFmtId="1" fontId="2" fillId="3" borderId="0" xfId="1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164" fontId="3" fillId="8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3" fontId="0" fillId="7" borderId="0" xfId="0" applyNumberFormat="1" applyFont="1" applyFill="1" applyAlignment="1">
      <alignment horizontal="center"/>
    </xf>
    <xf numFmtId="3" fontId="0" fillId="7" borderId="0" xfId="0" applyNumberFormat="1" applyFill="1"/>
    <xf numFmtId="3" fontId="2" fillId="5" borderId="0" xfId="1" applyNumberFormat="1" applyFont="1" applyFill="1" applyAlignment="1">
      <alignment horizontal="center"/>
    </xf>
    <xf numFmtId="3" fontId="2" fillId="8" borderId="0" xfId="1" applyNumberFormat="1" applyFont="1" applyFill="1" applyAlignment="1">
      <alignment horizontal="center"/>
    </xf>
    <xf numFmtId="164" fontId="2" fillId="8" borderId="0" xfId="0" applyNumberFormat="1" applyFont="1" applyFill="1" applyAlignment="1">
      <alignment horizontal="center"/>
    </xf>
    <xf numFmtId="0" fontId="2" fillId="7" borderId="0" xfId="0" applyFont="1" applyFill="1" applyAlignment="1">
      <alignment horizontal="left"/>
    </xf>
    <xf numFmtId="3" fontId="2" fillId="6" borderId="0" xfId="1" applyNumberFormat="1" applyFont="1" applyFill="1" applyAlignment="1">
      <alignment horizontal="center"/>
    </xf>
    <xf numFmtId="164" fontId="3" fillId="6" borderId="0" xfId="0" applyNumberFormat="1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13" fillId="7" borderId="0" xfId="0" applyFont="1" applyFill="1"/>
    <xf numFmtId="0" fontId="14" fillId="0" borderId="0" xfId="0" applyFont="1" applyAlignment="1">
      <alignment vertical="center"/>
    </xf>
    <xf numFmtId="0" fontId="14" fillId="0" borderId="0" xfId="0" applyFont="1" applyAlignment="1"/>
    <xf numFmtId="0" fontId="0" fillId="0" borderId="0" xfId="0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right"/>
    </xf>
    <xf numFmtId="1" fontId="2" fillId="6" borderId="0" xfId="0" applyNumberFormat="1" applyFont="1" applyFill="1" applyAlignment="1">
      <alignment horizontal="center"/>
    </xf>
    <xf numFmtId="1" fontId="2" fillId="5" borderId="0" xfId="0" applyNumberFormat="1" applyFont="1" applyFill="1" applyAlignment="1">
      <alignment horizontal="center"/>
    </xf>
    <xf numFmtId="1" fontId="2" fillId="8" borderId="0" xfId="0" applyNumberFormat="1" applyFont="1" applyFill="1" applyAlignment="1">
      <alignment horizontal="center"/>
    </xf>
  </cellXfs>
  <cellStyles count="3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Normal" xfId="0" builtinId="0"/>
  </cellStyles>
  <dxfs count="0"/>
  <tableStyles count="0" defaultTableStyle="TableStyleMedium2" defaultPivotStyle="PivotStyleMedium4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1181100</xdr:colOff>
      <xdr:row>1</xdr:row>
      <xdr:rowOff>95250</xdr:rowOff>
    </xdr:from>
    <xdr:to>
      <xdr:col>5</xdr:col>
      <xdr:colOff>2390775</xdr:colOff>
      <xdr:row>6</xdr:row>
      <xdr:rowOff>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1181100" y="333375"/>
          <a:ext cx="94678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695325</xdr:colOff>
      <xdr:row>0</xdr:row>
      <xdr:rowOff>219075</xdr:rowOff>
    </xdr:from>
    <xdr:to>
      <xdr:col>2</xdr:col>
      <xdr:colOff>1197142</xdr:colOff>
      <xdr:row>7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19075"/>
          <a:ext cx="6245392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1181100</xdr:colOff>
      <xdr:row>1</xdr:row>
      <xdr:rowOff>95250</xdr:rowOff>
    </xdr:from>
    <xdr:to>
      <xdr:col>5</xdr:col>
      <xdr:colOff>2390775</xdr:colOff>
      <xdr:row>6</xdr:row>
      <xdr:rowOff>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1181100" y="333375"/>
          <a:ext cx="49339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695325</xdr:colOff>
      <xdr:row>0</xdr:row>
      <xdr:rowOff>219075</xdr:rowOff>
    </xdr:from>
    <xdr:to>
      <xdr:col>2</xdr:col>
      <xdr:colOff>1197142</xdr:colOff>
      <xdr:row>7</xdr:row>
      <xdr:rowOff>76200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19075"/>
          <a:ext cx="6315075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85" zoomScaleNormal="85" zoomScalePageLayoutView="85" workbookViewId="0">
      <selection activeCell="A37" sqref="A37"/>
    </sheetView>
  </sheetViews>
  <sheetFormatPr defaultColWidth="8.85546875" defaultRowHeight="15" x14ac:dyDescent="0.25"/>
  <cols>
    <col min="1" max="1" width="72.7109375" customWidth="1"/>
    <col min="2" max="2" width="13.42578125" customWidth="1"/>
    <col min="3" max="3" width="18.85546875" bestFit="1" customWidth="1"/>
    <col min="4" max="4" width="20" customWidth="1"/>
    <col min="5" max="5" width="21" customWidth="1"/>
    <col min="6" max="6" width="15.5703125" customWidth="1"/>
    <col min="7" max="7" width="12.85546875" customWidth="1"/>
    <col min="8" max="8" width="19" customWidth="1"/>
    <col min="9" max="9" width="13.140625" bestFit="1" customWidth="1"/>
    <col min="10" max="10" width="24.28515625" customWidth="1"/>
    <col min="11" max="11" width="23.7109375" customWidth="1"/>
  </cols>
  <sheetData>
    <row r="1" spans="1:13" ht="18.75" x14ac:dyDescent="0.3">
      <c r="A1" s="1" t="s">
        <v>19</v>
      </c>
      <c r="E1" t="s">
        <v>36</v>
      </c>
    </row>
    <row r="2" spans="1:13" ht="18.75" x14ac:dyDescent="0.3">
      <c r="A2" s="2"/>
      <c r="B2" s="3"/>
      <c r="C2" s="3"/>
    </row>
    <row r="3" spans="1:13" ht="18.75" x14ac:dyDescent="0.3">
      <c r="A3" s="2"/>
      <c r="B3" s="3"/>
      <c r="C3" s="3"/>
      <c r="E3" s="31" t="s">
        <v>37</v>
      </c>
    </row>
    <row r="4" spans="1:13" ht="18.75" x14ac:dyDescent="0.3">
      <c r="A4" s="2"/>
      <c r="B4" s="3"/>
      <c r="C4" s="3"/>
      <c r="E4" s="31" t="s">
        <v>38</v>
      </c>
    </row>
    <row r="5" spans="1:13" ht="18.75" x14ac:dyDescent="0.3">
      <c r="A5" s="2"/>
      <c r="B5" s="3"/>
      <c r="C5" s="3"/>
      <c r="E5" s="31" t="s">
        <v>39</v>
      </c>
    </row>
    <row r="6" spans="1:13" ht="18.75" x14ac:dyDescent="0.3">
      <c r="A6" s="2"/>
      <c r="B6" s="3"/>
      <c r="C6" s="3"/>
      <c r="E6" s="32" t="s">
        <v>40</v>
      </c>
    </row>
    <row r="7" spans="1:13" ht="18.75" x14ac:dyDescent="0.3">
      <c r="A7" s="2"/>
      <c r="B7" s="3"/>
      <c r="C7" s="3"/>
      <c r="E7" s="33" t="s">
        <v>41</v>
      </c>
    </row>
    <row r="8" spans="1:13" ht="23.25" x14ac:dyDescent="0.35">
      <c r="A8" s="4" t="s">
        <v>9</v>
      </c>
      <c r="B8" s="5" t="s">
        <v>0</v>
      </c>
      <c r="C8" s="13">
        <v>50000</v>
      </c>
      <c r="D8" s="13"/>
    </row>
    <row r="9" spans="1:13" ht="23.25" x14ac:dyDescent="0.35">
      <c r="A9" s="4" t="s">
        <v>10</v>
      </c>
      <c r="B9" s="5" t="s">
        <v>1</v>
      </c>
      <c r="C9" s="14">
        <v>100</v>
      </c>
      <c r="D9" s="14"/>
    </row>
    <row r="10" spans="1:13" ht="23.25" x14ac:dyDescent="0.35">
      <c r="A10" s="4" t="s">
        <v>11</v>
      </c>
      <c r="B10" s="5" t="s">
        <v>2</v>
      </c>
      <c r="C10" s="16">
        <v>1</v>
      </c>
      <c r="D10" s="16"/>
    </row>
    <row r="11" spans="1:13" ht="23.25" x14ac:dyDescent="0.35">
      <c r="A11" s="4" t="s">
        <v>12</v>
      </c>
      <c r="B11" s="5" t="s">
        <v>3</v>
      </c>
      <c r="C11" s="15">
        <v>30</v>
      </c>
      <c r="D11" s="15"/>
    </row>
    <row r="12" spans="1:13" ht="26.25" x14ac:dyDescent="0.35">
      <c r="A12" s="4" t="s">
        <v>13</v>
      </c>
      <c r="B12" s="5" t="s">
        <v>15</v>
      </c>
      <c r="C12" s="16">
        <v>0.3</v>
      </c>
      <c r="D12" s="16"/>
    </row>
    <row r="13" spans="1:13" ht="23.25" x14ac:dyDescent="0.35">
      <c r="A13" s="4" t="s">
        <v>14</v>
      </c>
      <c r="B13" s="5" t="s">
        <v>4</v>
      </c>
      <c r="C13" s="14">
        <v>2000</v>
      </c>
      <c r="D13" s="26" t="s">
        <v>25</v>
      </c>
      <c r="E13" s="26"/>
      <c r="F13" s="20"/>
      <c r="G13" s="20"/>
      <c r="H13" s="20"/>
      <c r="I13" s="20"/>
      <c r="J13" s="10"/>
    </row>
    <row r="14" spans="1:13" x14ac:dyDescent="0.25">
      <c r="A14" s="4"/>
      <c r="B14" s="4"/>
      <c r="C14" s="29" t="s">
        <v>35</v>
      </c>
      <c r="D14" s="29" t="s">
        <v>34</v>
      </c>
      <c r="E14" s="29" t="s">
        <v>26</v>
      </c>
      <c r="F14" s="29" t="s">
        <v>26</v>
      </c>
      <c r="G14" s="29" t="s">
        <v>26</v>
      </c>
      <c r="H14" s="29" t="s">
        <v>33</v>
      </c>
      <c r="I14" s="29" t="s">
        <v>27</v>
      </c>
      <c r="J14" s="30" t="s">
        <v>30</v>
      </c>
      <c r="K14" s="4"/>
      <c r="L14" s="4"/>
      <c r="M14" s="4"/>
    </row>
    <row r="15" spans="1:13" x14ac:dyDescent="0.25">
      <c r="A15" s="6"/>
      <c r="B15" s="6"/>
      <c r="C15" s="29" t="s">
        <v>21</v>
      </c>
      <c r="D15" s="21" t="s">
        <v>22</v>
      </c>
      <c r="E15" s="21" t="s">
        <v>32</v>
      </c>
      <c r="F15" s="21" t="s">
        <v>23</v>
      </c>
      <c r="G15" s="21" t="s">
        <v>24</v>
      </c>
      <c r="H15" s="21" t="s">
        <v>23</v>
      </c>
      <c r="I15" s="21" t="s">
        <v>28</v>
      </c>
      <c r="J15" s="22" t="s">
        <v>29</v>
      </c>
    </row>
    <row r="16" spans="1:13" ht="23.25" x14ac:dyDescent="0.35">
      <c r="A16" s="7" t="s">
        <v>16</v>
      </c>
      <c r="B16" s="8" t="s">
        <v>5</v>
      </c>
      <c r="C16" s="27">
        <f>2*C9*C10*C11/LN(C9*C10)</f>
        <v>1302.8834457097553</v>
      </c>
      <c r="D16" s="23">
        <f>2*C9*C10*C11/LN(2*C9)</f>
        <v>1132.434994906529</v>
      </c>
      <c r="E16" s="23">
        <f>2*C9*C10*C11/LN(4*C9*C10*C11)</f>
        <v>638.79654622953433</v>
      </c>
      <c r="F16" s="23">
        <f>2*C9*C10*C11</f>
        <v>6000</v>
      </c>
      <c r="G16" s="23">
        <f>2*F16</f>
        <v>12000</v>
      </c>
      <c r="H16" s="23">
        <f>2*C9*C10*C11</f>
        <v>6000</v>
      </c>
      <c r="I16" s="24">
        <f xml:space="preserve">    C$11   /  (         1/(8*C9^2*C$10^2/(LN(4*C9*C$10+1)+4*C9*C$10*(LN(4*C9*C$10+1)-1)))  +  (1/(3*C9))  * (C$11-1))</f>
        <v>246.48472052607869</v>
      </c>
      <c r="J16" s="24">
        <f xml:space="preserve">    C$11   /  (         1/(4*C9^2*C$10^2/(LN(2*C9*C$10+1)+2*C9*C$10*(LN(2*C9*C$10+1)-1)))  +  (1/(3*C9))  * (C$11-1))</f>
        <v>253.55875238740612</v>
      </c>
    </row>
    <row r="17" spans="1:10" ht="26.25" x14ac:dyDescent="0.35">
      <c r="A17" s="7" t="s">
        <v>20</v>
      </c>
      <c r="B17" s="8" t="s">
        <v>8</v>
      </c>
      <c r="C17" s="12">
        <f>$C$8/(C16+$C$8)</f>
        <v>0.97460408931812759</v>
      </c>
      <c r="D17" s="17">
        <f t="shared" ref="D17:J17" si="0">$C$8/(D16+$C$8)</f>
        <v>0.97785290305420947</v>
      </c>
      <c r="E17" s="17">
        <f t="shared" si="0"/>
        <v>0.98738523444872239</v>
      </c>
      <c r="F17" s="17">
        <f t="shared" si="0"/>
        <v>0.8928571428571429</v>
      </c>
      <c r="G17" s="17">
        <f t="shared" si="0"/>
        <v>0.80645161290322576</v>
      </c>
      <c r="H17" s="17">
        <v>1</v>
      </c>
      <c r="I17" s="25">
        <f t="shared" si="0"/>
        <v>0.99509448826326774</v>
      </c>
      <c r="J17" s="25">
        <f t="shared" si="0"/>
        <v>0.99495441201215706</v>
      </c>
    </row>
    <row r="18" spans="1:10" ht="23.25" x14ac:dyDescent="0.35">
      <c r="A18" s="7" t="s">
        <v>45</v>
      </c>
      <c r="B18" s="8" t="s">
        <v>44</v>
      </c>
      <c r="C18" s="36">
        <f>C16/(C17*$C$12)</f>
        <v>4456.1118372394858</v>
      </c>
      <c r="D18" s="37">
        <f>D16/(D17*$C$12)</f>
        <v>3860.277250867694</v>
      </c>
      <c r="E18" s="37">
        <f t="shared" ref="E18:J18" si="1">E16/(E17*$C$12)</f>
        <v>2156.5258892634333</v>
      </c>
      <c r="F18" s="37">
        <f t="shared" si="1"/>
        <v>22400</v>
      </c>
      <c r="G18" s="37">
        <f t="shared" si="1"/>
        <v>49600.000000000007</v>
      </c>
      <c r="H18" s="37">
        <f t="shared" si="1"/>
        <v>20000</v>
      </c>
      <c r="I18" s="38">
        <f t="shared" si="1"/>
        <v>825.66604958378366</v>
      </c>
      <c r="J18" s="38">
        <f t="shared" si="1"/>
        <v>849.48197735217082</v>
      </c>
    </row>
    <row r="19" spans="1:10" ht="23.25" x14ac:dyDescent="0.35">
      <c r="A19" s="7" t="s">
        <v>17</v>
      </c>
      <c r="B19" s="8" t="s">
        <v>7</v>
      </c>
      <c r="C19" s="12">
        <f>SQRT($C$13/($C$13+C18))</f>
        <v>0.55658240796946601</v>
      </c>
      <c r="D19" s="17">
        <f>SQRT($C$13/($C$13+D18))</f>
        <v>0.58419241821760692</v>
      </c>
      <c r="E19" s="17">
        <f t="shared" ref="E19:J19" si="2">SQRT($C$13/($C$13+E18))</f>
        <v>0.69366495347946355</v>
      </c>
      <c r="F19" s="17">
        <f t="shared" si="2"/>
        <v>0.2862991671569341</v>
      </c>
      <c r="G19" s="17">
        <f t="shared" si="2"/>
        <v>0.19687480773953941</v>
      </c>
      <c r="H19" s="17">
        <f t="shared" si="2"/>
        <v>0.30151134457776363</v>
      </c>
      <c r="I19" s="25">
        <f t="shared" si="2"/>
        <v>0.84130715227396757</v>
      </c>
      <c r="J19" s="25">
        <f t="shared" si="2"/>
        <v>0.83778395882676993</v>
      </c>
    </row>
    <row r="20" spans="1:10" ht="26.25" x14ac:dyDescent="0.45">
      <c r="A20" s="7" t="s">
        <v>18</v>
      </c>
      <c r="B20" s="9" t="s">
        <v>31</v>
      </c>
      <c r="C20" s="28">
        <f>SQRT(C17)*C19</f>
        <v>0.54946949929368205</v>
      </c>
      <c r="D20" s="18">
        <f t="shared" ref="D20:J20" si="3">SQRT(D17)*D19</f>
        <v>0.57768711509713866</v>
      </c>
      <c r="E20" s="18">
        <f t="shared" si="3"/>
        <v>0.6892758573145833</v>
      </c>
      <c r="F20" s="18">
        <f t="shared" si="3"/>
        <v>0.27052728459362813</v>
      </c>
      <c r="G20" s="18">
        <f t="shared" si="3"/>
        <v>0.17679879652761607</v>
      </c>
      <c r="H20" s="18">
        <f t="shared" si="3"/>
        <v>0.30151134457776363</v>
      </c>
      <c r="I20" s="19">
        <f t="shared" si="3"/>
        <v>0.83924109433626159</v>
      </c>
      <c r="J20" s="19">
        <f t="shared" si="3"/>
        <v>0.83566772970647962</v>
      </c>
    </row>
    <row r="21" spans="1:10" x14ac:dyDescent="0.25">
      <c r="A21" s="11"/>
      <c r="B21" s="11"/>
      <c r="C21" s="11"/>
      <c r="D21" s="11"/>
    </row>
    <row r="22" spans="1:10" x14ac:dyDescent="0.25">
      <c r="A22" s="11"/>
      <c r="B22" s="11"/>
      <c r="C22" s="11"/>
      <c r="D22" s="11"/>
    </row>
    <row r="23" spans="1:10" ht="23.25" x14ac:dyDescent="0.35">
      <c r="A23" s="34"/>
      <c r="B23" s="35" t="s">
        <v>42</v>
      </c>
      <c r="C23" s="15">
        <v>1303</v>
      </c>
      <c r="F23" s="11"/>
      <c r="G23" s="11"/>
      <c r="H23" s="11"/>
      <c r="I23" s="11"/>
    </row>
    <row r="24" spans="1:10" x14ac:dyDescent="0.25">
      <c r="A24" s="6"/>
      <c r="B24" s="6"/>
      <c r="C24" s="29" t="s">
        <v>21</v>
      </c>
      <c r="D24" s="21" t="s">
        <v>22</v>
      </c>
      <c r="E24" s="21" t="s">
        <v>32</v>
      </c>
      <c r="F24" s="21" t="s">
        <v>23</v>
      </c>
      <c r="G24" s="21" t="s">
        <v>24</v>
      </c>
      <c r="H24" s="21" t="s">
        <v>23</v>
      </c>
      <c r="I24" s="21" t="s">
        <v>28</v>
      </c>
      <c r="J24" s="22" t="s">
        <v>29</v>
      </c>
    </row>
    <row r="25" spans="1:10" ht="23.25" x14ac:dyDescent="0.35">
      <c r="A25" s="7" t="s">
        <v>16</v>
      </c>
      <c r="B25" s="8" t="s">
        <v>5</v>
      </c>
      <c r="C25" s="27">
        <f>$C23</f>
        <v>1303</v>
      </c>
      <c r="D25" s="27">
        <f t="shared" ref="D25:J25" si="4">$C23</f>
        <v>1303</v>
      </c>
      <c r="E25" s="27">
        <f t="shared" si="4"/>
        <v>1303</v>
      </c>
      <c r="F25" s="27">
        <f t="shared" si="4"/>
        <v>1303</v>
      </c>
      <c r="G25" s="27">
        <f t="shared" si="4"/>
        <v>1303</v>
      </c>
      <c r="H25" s="27">
        <f t="shared" si="4"/>
        <v>1303</v>
      </c>
      <c r="I25" s="27">
        <f t="shared" si="4"/>
        <v>1303</v>
      </c>
      <c r="J25" s="27">
        <f t="shared" si="4"/>
        <v>1303</v>
      </c>
    </row>
    <row r="26" spans="1:10" ht="26.25" x14ac:dyDescent="0.35">
      <c r="A26" s="7" t="s">
        <v>20</v>
      </c>
      <c r="B26" s="8" t="s">
        <v>8</v>
      </c>
      <c r="C26" s="12">
        <f>C8/(C25+C8)</f>
        <v>0.97460187513400776</v>
      </c>
      <c r="D26" s="17">
        <f t="shared" ref="D26" si="5">$C$8/(D25+$C$8)</f>
        <v>0.97460187513400776</v>
      </c>
      <c r="E26" s="17">
        <f t="shared" ref="E26" si="6">$C$8/(E25+$C$8)</f>
        <v>0.97460187513400776</v>
      </c>
      <c r="F26" s="17">
        <f t="shared" ref="F26" si="7">$C$8/(F25+$C$8)</f>
        <v>0.97460187513400776</v>
      </c>
      <c r="G26" s="17">
        <f t="shared" ref="G26" si="8">$C$8/(G25+$C$8)</f>
        <v>0.97460187513400776</v>
      </c>
      <c r="H26" s="17">
        <v>1</v>
      </c>
      <c r="I26" s="25">
        <f t="shared" ref="I26" si="9">$C$8/(I25+$C$8)</f>
        <v>0.97460187513400776</v>
      </c>
      <c r="J26" s="25">
        <f t="shared" ref="J26" si="10">$C$8/(J25+$C$8)</f>
        <v>0.97460187513400776</v>
      </c>
    </row>
    <row r="27" spans="1:10" ht="23.25" x14ac:dyDescent="0.35">
      <c r="A27" s="7" t="s">
        <v>45</v>
      </c>
      <c r="B27" s="8" t="s">
        <v>44</v>
      </c>
      <c r="C27" s="36">
        <f>C25/(C26*$C$12)</f>
        <v>4456.5205999999998</v>
      </c>
      <c r="D27" s="37">
        <f>D25/(D26*$C$12)</f>
        <v>4456.5205999999998</v>
      </c>
      <c r="E27" s="37">
        <f>E25/(E26*$C$12)</f>
        <v>4456.5205999999998</v>
      </c>
      <c r="F27" s="37">
        <f t="shared" ref="F27" si="11">F25/(F26*$C$12)</f>
        <v>4456.5205999999998</v>
      </c>
      <c r="G27" s="37">
        <f t="shared" ref="G27" si="12">G25/(G26*$C$12)</f>
        <v>4456.5205999999998</v>
      </c>
      <c r="H27" s="37">
        <f t="shared" ref="H27" si="13">H25/(H26*$C$12)</f>
        <v>4343.3333333333339</v>
      </c>
      <c r="I27" s="38">
        <f t="shared" ref="I27" si="14">I25/(I26*$C$12)</f>
        <v>4456.5205999999998</v>
      </c>
      <c r="J27" s="38">
        <f t="shared" ref="J27" si="15">J25/(J26*$C$12)</f>
        <v>4456.5205999999998</v>
      </c>
    </row>
    <row r="28" spans="1:10" ht="23.25" x14ac:dyDescent="0.35">
      <c r="A28" s="7" t="s">
        <v>17</v>
      </c>
      <c r="B28" s="8" t="s">
        <v>7</v>
      </c>
      <c r="C28" s="12">
        <f>SQRT($C$13/($C$13+C27))</f>
        <v>0.55656478905545137</v>
      </c>
      <c r="D28" s="17">
        <f>SQRT($C$13/($C$13+D27))</f>
        <v>0.55656478905545137</v>
      </c>
      <c r="E28" s="17">
        <f t="shared" ref="E28" si="16">SQRT($C$13/($C$13+E27))</f>
        <v>0.55656478905545137</v>
      </c>
      <c r="F28" s="17">
        <f t="shared" ref="F28" si="17">SQRT($C$13/($C$13+F27))</f>
        <v>0.55656478905545137</v>
      </c>
      <c r="G28" s="17">
        <f t="shared" ref="G28" si="18">SQRT($C$13/($C$13+G27))</f>
        <v>0.55656478905545137</v>
      </c>
      <c r="H28" s="17">
        <f t="shared" ref="H28" si="19">SQRT($C$13/($C$13+H27))</f>
        <v>0.56150836571810181</v>
      </c>
      <c r="I28" s="25">
        <f t="shared" ref="I28" si="20">SQRT($C$13/($C$13+I27))</f>
        <v>0.55656478905545137</v>
      </c>
      <c r="J28" s="25">
        <f t="shared" ref="J28" si="21">SQRT($C$13/($C$13+J27))</f>
        <v>0.55656478905545137</v>
      </c>
    </row>
    <row r="29" spans="1:10" ht="26.25" x14ac:dyDescent="0.45">
      <c r="A29" s="7" t="s">
        <v>18</v>
      </c>
      <c r="B29" s="9" t="s">
        <v>31</v>
      </c>
      <c r="C29" s="28">
        <f>SQRT(C26)*C28</f>
        <v>0.54945148139745525</v>
      </c>
      <c r="D29" s="18">
        <f t="shared" ref="D29" si="22">SQRT(D26)*D28</f>
        <v>0.54945148139745525</v>
      </c>
      <c r="E29" s="18">
        <f t="shared" ref="E29" si="23">SQRT(E26)*E28</f>
        <v>0.54945148139745525</v>
      </c>
      <c r="F29" s="18">
        <f t="shared" ref="F29" si="24">SQRT(F26)*F28</f>
        <v>0.54945148139745525</v>
      </c>
      <c r="G29" s="18">
        <f t="shared" ref="G29" si="25">SQRT(G26)*G28</f>
        <v>0.54945148139745525</v>
      </c>
      <c r="H29" s="18">
        <f t="shared" ref="H29" si="26">SQRT(H26)*H28</f>
        <v>0.56150836571810181</v>
      </c>
      <c r="I29" s="19">
        <f t="shared" ref="I29" si="27">SQRT(I26)*I28</f>
        <v>0.54945148139745525</v>
      </c>
      <c r="J29" s="19">
        <f t="shared" ref="J29" si="28">SQRT(J26)*J28</f>
        <v>0.54945148139745525</v>
      </c>
    </row>
  </sheetData>
  <pageMargins left="0.7" right="0.7" top="0.75" bottom="0.75" header="0.3" footer="0.3"/>
  <pageSetup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M29"/>
  <sheetViews>
    <sheetView zoomScale="85" zoomScaleNormal="85" zoomScalePageLayoutView="85" workbookViewId="0">
      <selection activeCell="C8" sqref="C8"/>
    </sheetView>
  </sheetViews>
  <sheetFormatPr defaultColWidth="8.85546875" defaultRowHeight="15" x14ac:dyDescent="0.25"/>
  <cols>
    <col min="1" max="1" width="72.7109375" customWidth="1"/>
    <col min="2" max="2" width="13.42578125" customWidth="1"/>
    <col min="3" max="3" width="18.85546875" bestFit="1" customWidth="1"/>
    <col min="4" max="4" width="20" customWidth="1"/>
    <col min="5" max="5" width="21" customWidth="1"/>
    <col min="6" max="6" width="13.7109375" bestFit="1" customWidth="1"/>
    <col min="7" max="7" width="12.85546875" customWidth="1"/>
    <col min="8" max="8" width="19" customWidth="1"/>
    <col min="9" max="9" width="13.140625" bestFit="1" customWidth="1"/>
    <col min="10" max="10" width="24.28515625" customWidth="1"/>
    <col min="11" max="11" width="23.7109375" customWidth="1"/>
  </cols>
  <sheetData>
    <row r="1" spans="1:13" ht="18.75" x14ac:dyDescent="0.3">
      <c r="A1" s="1" t="s">
        <v>19</v>
      </c>
      <c r="E1" t="s">
        <v>36</v>
      </c>
    </row>
    <row r="2" spans="1:13" ht="18.75" x14ac:dyDescent="0.3">
      <c r="A2" s="2"/>
      <c r="B2" s="3"/>
      <c r="C2" s="3"/>
    </row>
    <row r="3" spans="1:13" ht="18.75" x14ac:dyDescent="0.3">
      <c r="A3" s="2"/>
      <c r="B3" s="3"/>
      <c r="C3" s="3"/>
      <c r="E3" s="31" t="s">
        <v>37</v>
      </c>
    </row>
    <row r="4" spans="1:13" ht="18.75" x14ac:dyDescent="0.3">
      <c r="A4" s="2"/>
      <c r="B4" s="3"/>
      <c r="C4" s="3"/>
      <c r="E4" s="31" t="s">
        <v>38</v>
      </c>
    </row>
    <row r="5" spans="1:13" ht="18.75" x14ac:dyDescent="0.3">
      <c r="A5" s="2"/>
      <c r="B5" s="3"/>
      <c r="C5" s="3"/>
      <c r="E5" s="31" t="s">
        <v>39</v>
      </c>
    </row>
    <row r="6" spans="1:13" ht="18.75" x14ac:dyDescent="0.3">
      <c r="A6" s="2"/>
      <c r="B6" s="3"/>
      <c r="C6" s="3"/>
      <c r="E6" s="32" t="s">
        <v>40</v>
      </c>
    </row>
    <row r="7" spans="1:13" ht="18.75" x14ac:dyDescent="0.3">
      <c r="A7" s="2"/>
      <c r="B7" s="3"/>
      <c r="C7" s="3"/>
      <c r="E7" s="33" t="s">
        <v>41</v>
      </c>
    </row>
    <row r="8" spans="1:13" ht="23.25" x14ac:dyDescent="0.35">
      <c r="A8" s="4" t="s">
        <v>9</v>
      </c>
      <c r="B8" s="5" t="s">
        <v>0</v>
      </c>
      <c r="C8" s="13">
        <v>1</v>
      </c>
      <c r="D8" s="13"/>
    </row>
    <row r="9" spans="1:13" ht="23.25" x14ac:dyDescent="0.35">
      <c r="A9" s="4" t="s">
        <v>10</v>
      </c>
      <c r="B9" s="5" t="s">
        <v>1</v>
      </c>
      <c r="C9" s="14">
        <v>100</v>
      </c>
      <c r="D9" s="14"/>
    </row>
    <row r="10" spans="1:13" ht="23.25" x14ac:dyDescent="0.35">
      <c r="A10" s="4" t="s">
        <v>11</v>
      </c>
      <c r="B10" s="5" t="s">
        <v>2</v>
      </c>
      <c r="C10" s="16">
        <v>1</v>
      </c>
      <c r="D10" s="16"/>
    </row>
    <row r="11" spans="1:13" ht="23.25" x14ac:dyDescent="0.35">
      <c r="A11" s="4" t="s">
        <v>12</v>
      </c>
      <c r="B11" s="5" t="s">
        <v>3</v>
      </c>
      <c r="C11" s="15">
        <v>30</v>
      </c>
      <c r="D11" s="15"/>
    </row>
    <row r="12" spans="1:13" ht="26.25" x14ac:dyDescent="0.35">
      <c r="A12" s="4" t="s">
        <v>13</v>
      </c>
      <c r="B12" s="5" t="s">
        <v>15</v>
      </c>
      <c r="C12" s="16">
        <v>0.3</v>
      </c>
      <c r="D12" s="16"/>
    </row>
    <row r="13" spans="1:13" ht="23.25" x14ac:dyDescent="0.35">
      <c r="A13" s="4" t="s">
        <v>14</v>
      </c>
      <c r="B13" s="5" t="s">
        <v>4</v>
      </c>
      <c r="C13" s="14">
        <v>2000</v>
      </c>
      <c r="D13" s="26" t="s">
        <v>25</v>
      </c>
      <c r="E13" s="26"/>
      <c r="F13" s="20"/>
      <c r="G13" s="20"/>
      <c r="H13" s="20"/>
      <c r="I13" s="20"/>
      <c r="J13" s="10"/>
    </row>
    <row r="14" spans="1:13" x14ac:dyDescent="0.25">
      <c r="A14" s="4"/>
      <c r="B14" s="4"/>
      <c r="C14" s="29" t="s">
        <v>35</v>
      </c>
      <c r="D14" s="29" t="s">
        <v>34</v>
      </c>
      <c r="E14" s="29" t="s">
        <v>26</v>
      </c>
      <c r="F14" s="29" t="s">
        <v>26</v>
      </c>
      <c r="G14" s="29" t="s">
        <v>26</v>
      </c>
      <c r="H14" s="29" t="s">
        <v>33</v>
      </c>
      <c r="I14" s="29" t="s">
        <v>27</v>
      </c>
      <c r="J14" s="30" t="s">
        <v>30</v>
      </c>
      <c r="K14" s="4"/>
      <c r="L14" s="4"/>
      <c r="M14" s="4"/>
    </row>
    <row r="15" spans="1:13" x14ac:dyDescent="0.25">
      <c r="A15" s="6"/>
      <c r="B15" s="6"/>
      <c r="C15" s="29" t="s">
        <v>21</v>
      </c>
      <c r="D15" s="21" t="s">
        <v>22</v>
      </c>
      <c r="E15" s="21" t="s">
        <v>32</v>
      </c>
      <c r="F15" s="21" t="s">
        <v>23</v>
      </c>
      <c r="G15" s="21" t="s">
        <v>24</v>
      </c>
      <c r="H15" s="21" t="s">
        <v>23</v>
      </c>
      <c r="I15" s="21" t="s">
        <v>28</v>
      </c>
      <c r="J15" s="22" t="s">
        <v>29</v>
      </c>
    </row>
    <row r="16" spans="1:13" ht="23.25" x14ac:dyDescent="0.35">
      <c r="A16" s="7" t="s">
        <v>16</v>
      </c>
      <c r="B16" s="8" t="s">
        <v>5</v>
      </c>
      <c r="C16" s="27">
        <f>2*C9*C10*C11/LN(C9*C10)</f>
        <v>1302.8834457097553</v>
      </c>
      <c r="D16" s="23">
        <f>2*C9*C10*C11/LN(2*C9)</f>
        <v>1132.434994906529</v>
      </c>
      <c r="E16" s="23">
        <f>2*C9*C10*C11/LN(4*C9*C10*C11)</f>
        <v>638.79654622953433</v>
      </c>
      <c r="F16" s="23">
        <f>2*C9*C10*C11</f>
        <v>6000</v>
      </c>
      <c r="G16" s="23">
        <f>2*F16</f>
        <v>12000</v>
      </c>
      <c r="H16" s="23">
        <f>2*C9*C10*C11</f>
        <v>6000</v>
      </c>
      <c r="I16" s="24">
        <f xml:space="preserve">    C$11   /  (         1/(8*C9^2*C$10^2/(LN(4*C9*C$10+1)+4*C9*C$10*(LN(4*C9*C$10+1)-1)))  +  (1/(3*C9))  * (C$11-1))</f>
        <v>246.48472052607869</v>
      </c>
      <c r="J16" s="24">
        <f xml:space="preserve">    C$11   /  (         1/(4*C9^2*C$10^2/(LN(2*C9*C$10+1)+2*C9*C$10*(LN(2*C9*C$10+1)-1)))  +  (1/(3*C9))  * (C$11-1))</f>
        <v>253.55875238740612</v>
      </c>
    </row>
    <row r="17" spans="1:10" ht="26.25" x14ac:dyDescent="0.35">
      <c r="A17" s="7" t="s">
        <v>20</v>
      </c>
      <c r="B17" s="8" t="s">
        <v>8</v>
      </c>
      <c r="C17" s="12">
        <f>C8/(C16+C8)</f>
        <v>7.669397163453214E-4</v>
      </c>
      <c r="D17" s="17">
        <f>C8/(D16+C8)</f>
        <v>8.8227379999191488E-4</v>
      </c>
      <c r="E17" s="17">
        <f>C8/(E16+C8)</f>
        <v>1.5629968712604437E-3</v>
      </c>
      <c r="F17" s="17">
        <f>C8/(F16+C8)</f>
        <v>1.6663889351774705E-4</v>
      </c>
      <c r="G17" s="17">
        <f>C8/(G16+C8)</f>
        <v>8.3326389467544378E-5</v>
      </c>
      <c r="H17" s="17">
        <v>1</v>
      </c>
      <c r="I17" s="25">
        <f>C8/(C8+I16)</f>
        <v>4.0406534911500728E-3</v>
      </c>
      <c r="J17" s="25">
        <f>C8/(C8+J16)</f>
        <v>3.9283662047421061E-3</v>
      </c>
    </row>
    <row r="18" spans="1:10" ht="23.25" x14ac:dyDescent="0.35">
      <c r="A18" s="7" t="s">
        <v>43</v>
      </c>
      <c r="B18" s="8" t="s">
        <v>6</v>
      </c>
      <c r="C18" s="12">
        <f>C13*C17*C12/C16</f>
        <v>3.5318879161636382E-4</v>
      </c>
      <c r="D18" s="17">
        <f>C13*D17*C12/D16</f>
        <v>4.6745665965474911E-4</v>
      </c>
      <c r="E18" s="17">
        <f>C13*E17*C12/E16</f>
        <v>1.4680701207474807E-3</v>
      </c>
      <c r="F18" s="17">
        <f>C13*F17*C12/F16</f>
        <v>1.6663889351774705E-5</v>
      </c>
      <c r="G18" s="17">
        <f>C13*G17*C12/G16</f>
        <v>4.1663194733772185E-6</v>
      </c>
      <c r="H18" s="17"/>
      <c r="I18" s="25"/>
      <c r="J18" s="25"/>
    </row>
    <row r="19" spans="1:10" ht="23.25" x14ac:dyDescent="0.35">
      <c r="A19" s="7" t="s">
        <v>17</v>
      </c>
      <c r="B19" s="8" t="s">
        <v>7</v>
      </c>
      <c r="C19" s="12">
        <f>SQRT(C18/(1+C18))</f>
        <v>1.8789999822668317E-2</v>
      </c>
      <c r="D19" s="17">
        <f>SQRT(D18/(1+D18))</f>
        <v>2.1615694437722776E-2</v>
      </c>
      <c r="E19" s="17">
        <f>SQRT(E18/(1+E18))</f>
        <v>3.82873092585315E-2</v>
      </c>
      <c r="F19" s="17">
        <f t="shared" ref="F19:G19" si="0">SQRT(F18/(1+F18))</f>
        <v>4.0821087284874736E-3</v>
      </c>
      <c r="G19" s="17">
        <f t="shared" si="0"/>
        <v>2.0411521538659444E-3</v>
      </c>
      <c r="H19" s="17">
        <f>SQRT(C12/(C12+(H16/C13)))</f>
        <v>0.30151134457776363</v>
      </c>
      <c r="I19" s="25"/>
      <c r="J19" s="25"/>
    </row>
    <row r="20" spans="1:10" ht="26.25" x14ac:dyDescent="0.45">
      <c r="A20" s="7" t="s">
        <v>18</v>
      </c>
      <c r="B20" s="9" t="s">
        <v>31</v>
      </c>
      <c r="C20" s="28">
        <f>SQRT(C17)*C19</f>
        <v>5.2036417593329229E-4</v>
      </c>
      <c r="D20" s="18">
        <f>SQRT(C17)*C19</f>
        <v>5.2036417593329229E-4</v>
      </c>
      <c r="E20" s="18">
        <f>SQRT(E17)*E19</f>
        <v>1.5136794000309773E-3</v>
      </c>
      <c r="F20" s="18">
        <f t="shared" ref="F20:G20" si="1">SQRT(F17)*F19</f>
        <v>5.2695405975256711E-5</v>
      </c>
      <c r="G20" s="18">
        <f t="shared" si="1"/>
        <v>1.8632308302871145E-5</v>
      </c>
      <c r="H20" s="18">
        <f>H19*H17</f>
        <v>0.30151134457776363</v>
      </c>
      <c r="I20" s="19">
        <f>SQRT(C12/(C12+(I16/C13)))</f>
        <v>0.84191076681594912</v>
      </c>
      <c r="J20" s="19">
        <f>SQRT(C12/(C12+(J16/C13)))</f>
        <v>0.83841475981493319</v>
      </c>
    </row>
    <row r="21" spans="1:10" x14ac:dyDescent="0.25">
      <c r="A21" s="11"/>
      <c r="B21" s="11"/>
      <c r="C21" s="11"/>
      <c r="D21" s="11"/>
    </row>
    <row r="22" spans="1:10" x14ac:dyDescent="0.25">
      <c r="A22" s="11"/>
      <c r="B22" s="11"/>
      <c r="C22" s="11"/>
      <c r="D22" s="11"/>
    </row>
    <row r="23" spans="1:10" ht="23.25" x14ac:dyDescent="0.35">
      <c r="A23" s="34"/>
      <c r="B23" s="35" t="s">
        <v>42</v>
      </c>
      <c r="C23" s="15">
        <v>1303</v>
      </c>
      <c r="F23" s="11"/>
      <c r="G23" s="11"/>
      <c r="H23" s="11"/>
      <c r="I23" s="11"/>
    </row>
    <row r="24" spans="1:10" x14ac:dyDescent="0.25">
      <c r="A24" s="6"/>
      <c r="B24" s="6"/>
      <c r="C24" s="29" t="s">
        <v>21</v>
      </c>
      <c r="D24" s="21" t="s">
        <v>22</v>
      </c>
      <c r="E24" s="21" t="s">
        <v>32</v>
      </c>
      <c r="F24" s="21" t="s">
        <v>23</v>
      </c>
      <c r="G24" s="21" t="s">
        <v>24</v>
      </c>
      <c r="H24" s="21" t="s">
        <v>23</v>
      </c>
      <c r="I24" s="21" t="s">
        <v>28</v>
      </c>
      <c r="J24" s="22" t="s">
        <v>29</v>
      </c>
    </row>
    <row r="25" spans="1:10" ht="23.25" x14ac:dyDescent="0.35">
      <c r="A25" s="7" t="s">
        <v>16</v>
      </c>
      <c r="B25" s="8" t="s">
        <v>5</v>
      </c>
      <c r="C25" s="27">
        <f>$C23</f>
        <v>1303</v>
      </c>
      <c r="D25" s="27">
        <f t="shared" ref="D25:J25" si="2">$C23</f>
        <v>1303</v>
      </c>
      <c r="E25" s="27">
        <f t="shared" si="2"/>
        <v>1303</v>
      </c>
      <c r="F25" s="27">
        <f t="shared" si="2"/>
        <v>1303</v>
      </c>
      <c r="G25" s="27">
        <f t="shared" si="2"/>
        <v>1303</v>
      </c>
      <c r="H25" s="27">
        <f t="shared" si="2"/>
        <v>1303</v>
      </c>
      <c r="I25" s="27">
        <f t="shared" si="2"/>
        <v>1303</v>
      </c>
      <c r="J25" s="27">
        <f t="shared" si="2"/>
        <v>1303</v>
      </c>
    </row>
    <row r="26" spans="1:10" ht="26.25" x14ac:dyDescent="0.35">
      <c r="A26" s="7" t="s">
        <v>20</v>
      </c>
      <c r="B26" s="8" t="s">
        <v>8</v>
      </c>
      <c r="C26" s="12">
        <f>C8/(C25+C8)</f>
        <v>7.668711656441718E-4</v>
      </c>
      <c r="D26" s="17">
        <f>C8/(C25+C8)</f>
        <v>7.668711656441718E-4</v>
      </c>
      <c r="E26" s="17">
        <f>C8/(E25+C8)</f>
        <v>7.668711656441718E-4</v>
      </c>
      <c r="F26" s="17">
        <f>C8/(F25+C8)</f>
        <v>7.668711656441718E-4</v>
      </c>
      <c r="G26" s="17">
        <f>C8/(G25+C8)</f>
        <v>7.668711656441718E-4</v>
      </c>
      <c r="H26" s="17">
        <v>1</v>
      </c>
      <c r="I26" s="25">
        <f>C8/(C8+I25)</f>
        <v>7.668711656441718E-4</v>
      </c>
      <c r="J26" s="25">
        <f>C8/(C8+J25)</f>
        <v>7.668711656441718E-4</v>
      </c>
    </row>
    <row r="27" spans="1:10" ht="23.25" x14ac:dyDescent="0.35">
      <c r="A27" s="7"/>
      <c r="B27" s="8" t="s">
        <v>6</v>
      </c>
      <c r="C27" s="12">
        <f>C13*C26*C12/C25</f>
        <v>3.5312563268342521E-4</v>
      </c>
      <c r="D27" s="17">
        <f>C13*D26*C12/D25</f>
        <v>3.5312563268342521E-4</v>
      </c>
      <c r="E27" s="17">
        <f>C13*E26*C12/E25</f>
        <v>3.5312563268342521E-4</v>
      </c>
      <c r="F27" s="17">
        <f>C13*F26*C12/F25</f>
        <v>3.5312563268342521E-4</v>
      </c>
      <c r="G27" s="17">
        <f>C13*G26*C12/G25</f>
        <v>3.5312563268342521E-4</v>
      </c>
      <c r="H27" s="17"/>
      <c r="I27" s="25"/>
      <c r="J27" s="25"/>
    </row>
    <row r="28" spans="1:10" ht="23.25" x14ac:dyDescent="0.35">
      <c r="A28" s="7" t="s">
        <v>17</v>
      </c>
      <c r="B28" s="8" t="s">
        <v>7</v>
      </c>
      <c r="C28" s="12">
        <f>SQRT(C27/(1+C27))</f>
        <v>1.8788320281211454E-2</v>
      </c>
      <c r="D28" s="17">
        <f>SQRT(D27/(1+D27))</f>
        <v>1.8788320281211454E-2</v>
      </c>
      <c r="E28" s="17">
        <f>SQRT(E27/(1+E27))</f>
        <v>1.8788320281211454E-2</v>
      </c>
      <c r="F28" s="17">
        <f t="shared" ref="F28:G28" si="3">SQRT(F27/(1+F27))</f>
        <v>1.8788320281211454E-2</v>
      </c>
      <c r="G28" s="17">
        <f t="shared" si="3"/>
        <v>1.8788320281211454E-2</v>
      </c>
      <c r="H28" s="17">
        <f>SQRT(C12/(C12+(H25/C13)))</f>
        <v>0.56150836571810181</v>
      </c>
      <c r="I28" s="25"/>
      <c r="J28" s="25"/>
    </row>
    <row r="29" spans="1:10" ht="26.25" x14ac:dyDescent="0.45">
      <c r="A29" s="7" t="s">
        <v>18</v>
      </c>
      <c r="B29" s="9" t="s">
        <v>31</v>
      </c>
      <c r="C29" s="28">
        <f>SQRT(C26)*C28</f>
        <v>5.2029440918687647E-4</v>
      </c>
      <c r="D29" s="18">
        <f>SQRT(C26)*C28</f>
        <v>5.2029440918687647E-4</v>
      </c>
      <c r="E29" s="18">
        <f>SQRT(E26)*E28</f>
        <v>5.2029440918687647E-4</v>
      </c>
      <c r="F29" s="18">
        <f t="shared" ref="F29:G29" si="4">SQRT(F26)*F28</f>
        <v>5.2029440918687647E-4</v>
      </c>
      <c r="G29" s="18">
        <f t="shared" si="4"/>
        <v>5.2029440918687647E-4</v>
      </c>
      <c r="H29" s="18">
        <f>H28*H26</f>
        <v>0.56150836571810181</v>
      </c>
      <c r="I29" s="19">
        <f>SQRT(C12/(C12+(I25/C13)))</f>
        <v>0.56150836571810181</v>
      </c>
      <c r="J29" s="19">
        <f>SQRT(C12/(C12+(J25/C13)))</f>
        <v>0.56150836571810181</v>
      </c>
    </row>
  </sheetData>
  <phoneticPr fontId="8" type="noConversion"/>
  <pageMargins left="0.7" right="0.7" top="0.75" bottom="0.75" header="0.3" footer="0.3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"/>
  <sheetViews>
    <sheetView workbookViewId="0">
      <selection activeCell="L31" sqref="L31"/>
    </sheetView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 (2)</vt:lpstr>
      <vt:lpstr>Sheet1</vt:lpstr>
      <vt:lpstr>Sheet2</vt:lpstr>
      <vt:lpstr>Sheet3</vt:lpstr>
      <vt:lpstr>Sheet4</vt:lpstr>
    </vt:vector>
  </TitlesOfParts>
  <Company>Iowa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Dekkers, Jack</dc:creator>
  <cp:lastModifiedBy>jvanderw</cp:lastModifiedBy>
  <dcterms:created xsi:type="dcterms:W3CDTF">2013-04-15T14:01:18Z</dcterms:created>
  <dcterms:modified xsi:type="dcterms:W3CDTF">2017-02-09T04:14:30Z</dcterms:modified>
</cp:coreProperties>
</file>